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审核汇总" sheetId="2" r:id="rId1"/>
  </sheets>
  <externalReferences>
    <externalReference r:id="rId2"/>
  </externalReferences>
  <definedNames>
    <definedName name="_xlnm._FilterDatabase" localSheetId="0" hidden="1">审核汇总!$A$1:$L$53</definedName>
    <definedName name="_xlnm.Print_Area" localSheetId="0">审核汇总!$A$1:$L$48</definedName>
    <definedName name="_xlnm.Print_Titles" localSheetId="0">审核汇总!$1:$6</definedName>
  </definedNames>
  <calcPr calcId="144525"/>
</workbook>
</file>

<file path=xl/comments1.xml><?xml version="1.0" encoding="utf-8"?>
<comments xmlns="http://schemas.openxmlformats.org/spreadsheetml/2006/main">
  <authors>
    <author>41627166</author>
  </authors>
  <commentList>
    <comment ref="I6" authorId="0">
      <text>
        <r>
          <rPr>
            <b/>
            <sz val="9"/>
            <rFont val="宋体"/>
            <charset val="134"/>
          </rPr>
          <t>41627166:</t>
        </r>
        <r>
          <rPr>
            <sz val="9"/>
            <rFont val="宋体"/>
            <charset val="134"/>
          </rPr>
          <t xml:space="preserve">
支持标准。每个项目拟支持额度不超过该项目第三方会计师事务所认定实际投资额的30%，其中，县级物流配送中心、乡镇商贸中心建设或改造提升项目，单个项目最高支持额度不超过100万元；乡镇快递物流服务站点项目，单个项目不超过20万元；其它类型项目，单个项目不超过50万元。</t>
        </r>
      </text>
    </comment>
    <comment ref="B27" authorId="0">
      <text>
        <r>
          <rPr>
            <b/>
            <sz val="9"/>
            <rFont val="宋体"/>
            <charset val="134"/>
          </rPr>
          <t>41627166:</t>
        </r>
        <r>
          <rPr>
            <sz val="9"/>
            <rFont val="宋体"/>
            <charset val="134"/>
          </rPr>
          <t xml:space="preserve">
申报方向由“提高生活服务供给质量”改为“增强农产品上行动能”</t>
        </r>
      </text>
    </comment>
  </commentList>
</comments>
</file>

<file path=xl/sharedStrings.xml><?xml version="1.0" encoding="utf-8"?>
<sst xmlns="http://schemas.openxmlformats.org/spreadsheetml/2006/main" count="184" uniqueCount="118">
  <si>
    <t>附件</t>
  </si>
  <si>
    <t>县域商业建设行动项目资金预安排情况</t>
  </si>
  <si>
    <t>项目实施期间：2021年1月1日至2023年3月31日</t>
  </si>
  <si>
    <t>序号</t>
  </si>
  <si>
    <t>申报方向</t>
  </si>
  <si>
    <t>项目单位</t>
  </si>
  <si>
    <t>项目名称</t>
  </si>
  <si>
    <t>项目所在区县</t>
  </si>
  <si>
    <t>审核意见（通过或不通过）</t>
  </si>
  <si>
    <t>复审意见</t>
  </si>
  <si>
    <t>企业申报项目发生额</t>
  </si>
  <si>
    <t>企业申请支持金额</t>
  </si>
  <si>
    <t>审定项目发生额</t>
  </si>
  <si>
    <t>审定项目按政策拟支持上限金额</t>
  </si>
  <si>
    <t>按本轮县域商业补助资金预算下调后审定项目拟支持金额（万元）</t>
  </si>
  <si>
    <t>县域商业补助资金预算</t>
  </si>
  <si>
    <t>县域商业补助资金预算占审定可支持资金总额比（%）</t>
  </si>
  <si>
    <t>合计</t>
  </si>
  <si>
    <t>一、合格项目小计</t>
  </si>
  <si>
    <t>（一）补齐县域商业基础设施短板</t>
  </si>
  <si>
    <t>补齐县域商业基础设施短板</t>
  </si>
  <si>
    <t>湖北市井荟商业管理有限公司黄陂滠口分公司</t>
  </si>
  <si>
    <t>市井荟滠口生鲜市场改造项目</t>
  </si>
  <si>
    <t>黄陂区</t>
  </si>
  <si>
    <t>通过</t>
  </si>
  <si>
    <t>企业申报项目发生额38.29万元，扣减未付款金额1.92万元后，审定项目发生额（普票）36.37万元。</t>
  </si>
  <si>
    <t>武汉和润家商贸有限公司</t>
  </si>
  <si>
    <t>和润家生活超市</t>
  </si>
  <si>
    <t>新洲区</t>
  </si>
  <si>
    <t>企业申报项目发生额353.10万元，扣减不属于支持内容的房屋建设工程款、办公室装修费、广告费、房屋租赁费等支出125.18万元和不规范支出（现金支付）66.66万元后，审定项目发生额（普票）161.26万元。</t>
  </si>
  <si>
    <t>中百仓储超市有限公司</t>
  </si>
  <si>
    <t>中百仓储超市阳逻购物广场改造项目</t>
  </si>
  <si>
    <t>企业申报项目发生额为含税金额1073.5万元，扣减未进行工程审计项目支出112.46万元并剔除增值税额后，审定项目发生额不含税价676.2万元。</t>
  </si>
  <si>
    <t>中百仓储藏龙岛店改造项目</t>
  </si>
  <si>
    <t>江夏区</t>
  </si>
  <si>
    <t>企业申报项目发生额为含税金额421.65万元，剔除增值税额后，审定项目发生额不含税价368.69万元。</t>
  </si>
  <si>
    <t>（二）完善县乡村三级物流配送体系</t>
  </si>
  <si>
    <t>完善县乡村三级物流配送体系</t>
  </si>
  <si>
    <t>湖北京邦达供应链科技有限公司</t>
  </si>
  <si>
    <t>快递物流分拣配送中心</t>
  </si>
  <si>
    <t>蔡甸区</t>
  </si>
  <si>
    <t>企业申报项目发生额为含税金额114.37万元，剔除增值税额后，审定项目发生额不含税价101.21万元。</t>
  </si>
  <si>
    <t>武汉市坤航快递有限公司</t>
  </si>
  <si>
    <t>海航蓝海临空产业园快递分拣中心项目</t>
  </si>
  <si>
    <t>企业申报项目发生额为含税金额162.94万元，扣减不属于支持内容的房屋租赁费、物业管理费、车辆租赁费、日常零星支出、设备搬迁拆除和运输费121.38万元并剔除增值税额后，审定项目发生额不含税价36.78万元。</t>
  </si>
  <si>
    <t>县域物流体系建设（智能分拣设备投入）</t>
  </si>
  <si>
    <t>企业申报项目发生额为含税金额169.87万元，扣减未付质保金5.74万元并剔除增值税额后，审定项目发生额不含税价145.25万元。</t>
  </si>
  <si>
    <t>武汉市德邦物流有限公司</t>
  </si>
  <si>
    <t>德邦物流智慧分拣分拨、网点运营平台项目</t>
  </si>
  <si>
    <t>企业申报项目发生额为含税金额1239.69万元，扣减未提供设备验收单支出83.98万元并剔除增值税额后，审定项目发生额不含税价1023.04万元。</t>
  </si>
  <si>
    <t>（三）改善优化县域消费渠道</t>
  </si>
  <si>
    <t>改善优化县域消费渠道</t>
  </si>
  <si>
    <t>湖北微特派快递有限公司</t>
  </si>
  <si>
    <t>农产品低温保鲜配送仓库</t>
  </si>
  <si>
    <t>企业申报项目发生额为含税金额392万元，剔除增值税额后，审定项目发生额不含税价347.26万元。</t>
  </si>
  <si>
    <t>武汉淘大集农业发展有限公司</t>
  </si>
  <si>
    <t>黄陂农产品仓配中心项目</t>
  </si>
  <si>
    <t>企业申报项目发生额为含税金额60万元，扣减不属于支持内容的易耗品、空调、工业电扇、物业管理费、日常维修费等支出32.45万元和其他仓库支出的4.78万元以及不合规支出（发票单位与收款单位不符，公对私转账）1.18万元并剔除增值税额后，审定项目发生额不含税价19.76万元。</t>
  </si>
  <si>
    <t>武汉新港阳逻保税园区开发管理有限公司</t>
  </si>
  <si>
    <t>电商“一件代发”项目（一期）</t>
  </si>
  <si>
    <t>申报方向由“增强农产品上行动能”改为“改善优化县域消费渠道”。企业申报项目发生额为含税金额305.58万元，扣减不属于支持内容的车辆保险、车船税支出10.04万元和因暂不满足要求未进行验收项目支出6.03万元并剔除增值税额后，审定项目发生额不含税价208.89万元。</t>
  </si>
  <si>
    <t>武汉中百现代食品加工物流配送有限公司</t>
  </si>
  <si>
    <t>中百物流江夏常温中央仓</t>
  </si>
  <si>
    <t>申报方向由“完善县乡村三级物流配送体系”改为“改善优化县域消费渠道”。企业申报项目发生额为不含税价775.52万元，扣减不属于支持内容的办公设备、洗车亭、吸烟棚、厨房支出以及建设期在2021年以前支出等413.14万元后，审定项目发生额不含税价339.95万元。</t>
  </si>
  <si>
    <t>（四）增强农产品上行动能</t>
  </si>
  <si>
    <t>增强农产品上行动能</t>
  </si>
  <si>
    <t>武汉林谷鲜农业开发有限公司</t>
  </si>
  <si>
    <t>武汉林谷鲜农业开发有限公司商业建设项目</t>
  </si>
  <si>
    <t>申报方向由“提高生活服务供给质量”改为“增强农产品上行动能”。企业申报项目发生额为含税金额89万元，扣减银行付款回单不合规支出（付款截图，没有付款人信息和银行印签）3.45万元并剔除增值税额后，审定项目发生额不含税价68.31万元。</t>
  </si>
  <si>
    <t>武汉王福禄农业发展有限公司</t>
  </si>
  <si>
    <t>农产品集配中心、冷库、初加工设备及产地仓库</t>
  </si>
  <si>
    <t>企业申报项目发生额为含税金额96万元，扣减不属于支持内容的房屋建设工程款55万元和深加工用烟熏炉10.19万元并剔除增值税额后，审定项目发生额不含价29万元。</t>
  </si>
  <si>
    <t>武汉云杉世界信息技术有限公司</t>
  </si>
  <si>
    <t>美菜智能仓配助农项目</t>
  </si>
  <si>
    <t>企业申报项目发生额为含税金额121.08万元，扣减不属于支持内容的租赁费、易耗品、日常零星支出、检测服务费等支出100.52万元和不属于支持范围的发票开具日期为2020年8月31日支出1.30万元以及武汉其他仓支出4.48万元并剔除增值税后，审定项目发生额不含税价13.08万元。</t>
  </si>
  <si>
    <t>（五）提高生活服务供给质量（无合格项目）</t>
  </si>
  <si>
    <t>二、不合格项目小计</t>
  </si>
  <si>
    <t>新洲区市场开发服务中心</t>
  </si>
  <si>
    <t>新洲区集贸市场升级改造项目（北壕农贸市场）</t>
  </si>
  <si>
    <t>不通过</t>
  </si>
  <si>
    <t>该“农改超”项目2020年7月22日开工建设，2021年1月20日完成主体结构并封顶，2021年4月完成相关配套设施建设，2021年6月竣工验收，不属于2021年1月1日起开始建设的项目。该项目开工建设时间不符合武汉市商务局《关于开展2023年县域商业建设行动项目申报工作的通知》“二、项目申报条件（三）项目能够按计划实施，原则上于2021年1月1日起开始建设至2023年3月31日前完工；2023年3月31日前未完工项目，可纳入下一批申报，以此类推。”的规定，故不予通过。</t>
  </si>
  <si>
    <t>新洲区集贸市场升级改造项目（南街农贸市场）</t>
  </si>
  <si>
    <t>新洲区国有集贸市场附属配套设施建设工程</t>
  </si>
  <si>
    <t>该企业申报的3个商超、2个市场遮阳附棚、通风、农残检测室及相关安全等零散设施配套建设支出，不属于完善冷藏、陈列、打包、结算、食品加工等设施设备。该项目申报的支出不符合《省商务厅 省财政厅 省乡村振兴局关于支持实施县域商业建设行动的通知》（鄂商务发〔2022〕45号)“三、支持内容（一）补齐县域商业基础设施短板。新建或改造一批乡镇商贸中心、大中型超市、批发市场、集贸市场等商业设施，完善冷藏、陈列、打包、结算、食品加工等设施设备，改善农村消费环境。”的规定，故不予通过。</t>
  </si>
  <si>
    <t>新洲区国有集贸市场附属配套变压器工程</t>
  </si>
  <si>
    <t>该企业申报的2个商超、1个市场各增设一台专用变压器支出，不属于完善冷藏、陈列、打包、结算、食品加工等设施设备。该项目申报的支出不符合《省商务厅 省财政厅 省乡村振兴局关于支持实施县域商业建设行动的通知》（鄂商务发〔2022〕45号)“三、支持内容（一）补齐县域商业基础设施短板。新建或改造一批乡镇商贸中心、大中型超市、批发市场、集贸市场等商业设施，完善冷藏、陈列、打包、结算、食品加工等设施设备，改善农村消费环境。”的规定，故不予通过。</t>
  </si>
  <si>
    <t>武汉幸福里商贸有限公司</t>
  </si>
  <si>
    <t>幸福里生活超市</t>
  </si>
  <si>
    <t>项目申报单位在整改期限内未提供项目的分项和整体决算资料，经联系沟通仍未提供相关材料。依据武汉市商务局《关于开展2023年县域商业建设行动项目申报工作的通知》“四、申报材料清单（八）项目竣工决算资料、项目建设合同、场地租赁合同（租赁方式）、设备购置合同和与之相关联的发票、资金支付凭证、银行付款回单等（复印件需加盖财务专用章）；……”的规定，该项目提供的申报材料不齐全，故不予通过。</t>
  </si>
  <si>
    <t>武汉阳逻港口服务有限公司</t>
  </si>
  <si>
    <t>武汉新港华中贸易服务区</t>
  </si>
  <si>
    <t>该项目2018年11月完成主体工程封顶，计划2023年6月完成整个项目验收，不属于2021年1月1日起开始建设至2023年3月31日前完工的项目，且提供的支出均在2021年前发生。该项目开工建设时间不符合武汉市商务局《关于开展2023年县域商业建设行动项目申报工作的通知》“二、项目申报条件（三）项目能够按计划实施，原则上于2021年1月1日起开始建设至2023年3月31日前完工；2023年3月31日前未完工项目，可纳入下一批申报，以此类推。”的规定，故不予通过。</t>
  </si>
  <si>
    <t>武汉菜惠园农副产品有限公司</t>
  </si>
  <si>
    <t>向阳村菜惠园数智农贸综合大市场项目</t>
  </si>
  <si>
    <t>项目申报单位在整改期限内未提供项目的分项和整体决算资料，经联系沟通仍未提供相关材料。依据武汉市商务局《关于开展2023年县域商业建设行动项目申报工作的通知》“四、申报材料清单“（八）项目竣工决算资料、项目建设合同、场地租赁合同（租赁方式）、设备购置合同和与之相关联的发票、资金支付凭证、银行付款回单等（复印件需加盖财务专用章）；……”的规定，该项目提供的申报材料不齐全，故不予通过。</t>
  </si>
  <si>
    <t>中国邮政集团有限公司武汉市蔡甸区分公司</t>
  </si>
  <si>
    <t>蔡甸区区级寄递共配中心及配套建设</t>
  </si>
  <si>
    <t>项目申报单位在整改期限内提供的申报材料不齐全，经联系沟通仍未提供相关材料，依据武汉市商务局《关于开展2023年县域商业建设行动项目申报工作的通知》“四、申报材料清单（八）项目竣工决算资料、项目建设合同、场地租赁合同（租赁方式）、设备购置合同和与之相关联的发票、资金支付凭证、银行付款回单等（复印件需加盖财务专用章）；……”的规定，该项目提供的申报材料不齐全，故不予通过。</t>
  </si>
  <si>
    <t>武汉司普来供应链管理有限公司</t>
  </si>
  <si>
    <t>食品生产加工项目二期</t>
  </si>
  <si>
    <t>该项目不符合《省商务厅 省财政厅 省乡村振兴局关于支持实施县域商业建设行动的通知》（鄂商务发〔2022〕45号)“四、资金分配方式和使用要求（三）资金使用要求4.明确禁止性事项：同一项目不得同时申报其他类财政资金，并在财政补助、以奖代补、贷款贴息等支持方式中选择一种进行申报。避免重复投入，对于已获其他中央、省级财政支持的项目，不得重复安排支持”及《湖北省商务厅 湖北省财政厅 关于印发湖北省县域商业建设行动专项资金管理实施细则的通知》（鄂商务发〔2023〕15号)“第十六条 专项资金应注意与中央财政安排的农产品供应链体系建设资金、省级财政安排的电商示范专项资金、县域商业体系试点建设资金和其他部门相关专项资金加强衔接，避免重复投入。对于已获其他财政资金支持的项目，不得重复申请或安排支持”的规定。该企业申报的项目已享受黄陂区2022年度市级农产品仓储保鲜冷链物流设施建设项目财政奖补资金100万元，故不予通过。</t>
  </si>
  <si>
    <t>武汉市劲宝食品有限公司</t>
  </si>
  <si>
    <t>劲宝仓储物流仓库</t>
  </si>
  <si>
    <t>该企业申报的项目为厂房建设支出。该项目建设内容不符合《省商务厅办公室关于开展县域商业建设行动绩效评价工作的通知》（鄂商办函〔2023〕14号）“附件1《县域商业建设行动（市县）绩效评价要点》一级指标重点任务，二级指标县乡村商业网络评价内容：……资金应用于网点设施设备改造升级和服务提升，严禁用于土建、租金及具有商业地产开发性质项目，……”的规定，故不予通过。</t>
  </si>
  <si>
    <t>武汉什湖粮油食品有限公司</t>
  </si>
  <si>
    <t>年10万吨稻米精加工成品生产改造工程</t>
  </si>
  <si>
    <t>该单位为生产企业，不属于商贸、电商、快递、物流企业，且不是对农业产品初加工而是进行精加工。该申报单位不符合《省商务厅 省财政厅 省乡村振兴局关于支持实施县域商业建设行动的通知》（鄂商务发〔2022〕45号)“三、支持内容（四）增强农村产品上行动能。引导商贸、电商、快递、物流企业围绕农村产品上行，建设分拣、预冷、初加工、配送等商品化处理设施，加强标准和品牌应用，提高农村产品商品转化率。”的规定，故不予通过。</t>
  </si>
  <si>
    <t>武汉市黄陂区农厚蔬菜种苗专业合作社</t>
  </si>
  <si>
    <t>农产品仓储保鲜冷库</t>
  </si>
  <si>
    <t>该单位为农产品生产企业，以线下销售为主。该申报单位不符合《省商务厅 省财政厅 省乡村振兴局关于支持实施县域商业建设行动的通知》（鄂商务发〔2022〕45号)“三、支持内容（四）增强农村产品上行动能。引导商贸、电商、快递、物流企业围绕农村产品上行，建设分拣、预冷、初加工、配送等商品化处理设施，加强标准和品牌应用，提高农村产品商品转化率。”的规定，故不予通过。</t>
  </si>
  <si>
    <t>武汉逍农食品有限公司</t>
  </si>
  <si>
    <t>鸡、鸭、猪、牛、羊、莲藕等农副产品的冷藏、分拣、深加工</t>
  </si>
  <si>
    <t>该企业为生产企业，不属于商贸、电商、快递、物流企业，且不是对农业产品初加工而是进行深加工。该申报单位不符合《省商务厅 省财政厅 省乡村振兴局关于支持实施县域商业建设行动的通知》（鄂商务发〔2022〕45号)“三、支持内容（四）增强农村产品上行动能。引导商贸、电商、快递、物流企业围绕农村产品上行，建设分拣、预冷、初加工、配送等商品化处理设施，加强标准和品牌应用，提高农村产品商品转化率。”的规定，故不予通过。</t>
  </si>
  <si>
    <t>（五）提高生活服务供给质量</t>
  </si>
  <si>
    <t>提高生活服务供给质量</t>
  </si>
  <si>
    <t>武汉市耳门绿野种养殖专业合作社</t>
  </si>
  <si>
    <t>茶叶产品加工分拣仓储配套设施项目</t>
  </si>
  <si>
    <t>该单位为生产企业，不属于商贸、电商、快递、物流企业，且没有整合购物、订餐、家政、职介、租赁、同城配送等服务。该申报单位不符合《省商务厅 省财政厅 省乡村振兴局关于支持实施县域商业建设行动的通知》（鄂商务发〔2022〕45号)“三、支持内容（五）提高生活服务供给质量。引导农村邮政、供销、电商、商贸流通企业整合购物、订餐、家政、职介、租赁、同城配送等服务，提高社区、村镇生活服务便捷性和服务质量。……”的规定，故不予通过。</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</si>
</sst>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 numFmtId="177" formatCode="#,##0.00_ "/>
  </numFmts>
  <fonts count="34">
    <font>
      <sz val="12"/>
      <name val="宋体"/>
      <charset val="134"/>
    </font>
    <font>
      <sz val="10"/>
      <name val="仿宋"/>
      <charset val="134"/>
    </font>
    <font>
      <b/>
      <sz val="10"/>
      <name val="仿宋"/>
      <charset val="134"/>
    </font>
    <font>
      <b/>
      <sz val="10"/>
      <name val="Times New Roman"/>
      <charset val="134"/>
    </font>
    <font>
      <sz val="10"/>
      <name val="Times New Roman"/>
      <charset val="134"/>
    </font>
    <font>
      <b/>
      <sz val="12"/>
      <name val="宋体"/>
      <charset val="134"/>
    </font>
    <font>
      <sz val="18"/>
      <name val="黑体"/>
      <charset val="134"/>
    </font>
    <font>
      <sz val="12"/>
      <name val="仿宋"/>
      <charset val="134"/>
    </font>
    <font>
      <sz val="10"/>
      <color theme="1"/>
      <name val="宋体"/>
      <charset val="134"/>
      <scheme val="minor"/>
    </font>
    <font>
      <b/>
      <sz val="10"/>
      <name val="宋体"/>
      <charset val="134"/>
    </font>
    <font>
      <sz val="10"/>
      <name val="宋体"/>
      <charset val="134"/>
    </font>
    <font>
      <sz val="10"/>
      <color theme="1"/>
      <name val="Times New Roman"/>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9"/>
      <name val="宋体"/>
      <charset val="134"/>
    </font>
    <font>
      <b/>
      <sz val="9"/>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6" fillId="0" borderId="0" applyFont="0" applyFill="0" applyBorder="0" applyAlignment="0" applyProtection="0">
      <alignment vertical="center"/>
    </xf>
    <xf numFmtId="0" fontId="12" fillId="26" borderId="0" applyNumberFormat="0" applyBorder="0" applyAlignment="0" applyProtection="0">
      <alignment vertical="center"/>
    </xf>
    <xf numFmtId="0" fontId="28" fillId="23" borderId="18"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2" fillId="8" borderId="0" applyNumberFormat="0" applyBorder="0" applyAlignment="0" applyProtection="0">
      <alignment vertical="center"/>
    </xf>
    <xf numFmtId="0" fontId="20" fillId="9" borderId="0" applyNumberFormat="0" applyBorder="0" applyAlignment="0" applyProtection="0">
      <alignment vertical="center"/>
    </xf>
    <xf numFmtId="43" fontId="16" fillId="0" borderId="0" applyFont="0" applyFill="0" applyBorder="0" applyAlignment="0" applyProtection="0">
      <alignment vertical="center"/>
    </xf>
    <xf numFmtId="0" fontId="21" fillId="22"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16" fillId="15" borderId="15" applyNumberFormat="0" applyFont="0" applyAlignment="0" applyProtection="0">
      <alignment vertical="center"/>
    </xf>
    <xf numFmtId="0" fontId="21" fillId="28"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3" applyNumberFormat="0" applyFill="0" applyAlignment="0" applyProtection="0">
      <alignment vertical="center"/>
    </xf>
    <xf numFmtId="0" fontId="14" fillId="0" borderId="13" applyNumberFormat="0" applyFill="0" applyAlignment="0" applyProtection="0">
      <alignment vertical="center"/>
    </xf>
    <xf numFmtId="0" fontId="21" fillId="21" borderId="0" applyNumberFormat="0" applyBorder="0" applyAlignment="0" applyProtection="0">
      <alignment vertical="center"/>
    </xf>
    <xf numFmtId="0" fontId="18" fillId="0" borderId="17" applyNumberFormat="0" applyFill="0" applyAlignment="0" applyProtection="0">
      <alignment vertical="center"/>
    </xf>
    <xf numFmtId="0" fontId="21" fillId="20" borderId="0" applyNumberFormat="0" applyBorder="0" applyAlignment="0" applyProtection="0">
      <alignment vertical="center"/>
    </xf>
    <xf numFmtId="0" fontId="22" fillId="14" borderId="14" applyNumberFormat="0" applyAlignment="0" applyProtection="0">
      <alignment vertical="center"/>
    </xf>
    <xf numFmtId="0" fontId="31" fillId="14" borderId="18" applyNumberFormat="0" applyAlignment="0" applyProtection="0">
      <alignment vertical="center"/>
    </xf>
    <xf numFmtId="0" fontId="13" fillId="6" borderId="12" applyNumberFormat="0" applyAlignment="0" applyProtection="0">
      <alignment vertical="center"/>
    </xf>
    <xf numFmtId="0" fontId="12" fillId="25" borderId="0" applyNumberFormat="0" applyBorder="0" applyAlignment="0" applyProtection="0">
      <alignment vertical="center"/>
    </xf>
    <xf numFmtId="0" fontId="21" fillId="13" borderId="0" applyNumberFormat="0" applyBorder="0" applyAlignment="0" applyProtection="0">
      <alignment vertical="center"/>
    </xf>
    <xf numFmtId="0" fontId="30" fillId="0" borderId="19" applyNumberFormat="0" applyFill="0" applyAlignment="0" applyProtection="0">
      <alignment vertical="center"/>
    </xf>
    <xf numFmtId="0" fontId="24" fillId="0" borderId="16" applyNumberFormat="0" applyFill="0" applyAlignment="0" applyProtection="0">
      <alignment vertical="center"/>
    </xf>
    <xf numFmtId="0" fontId="29" fillId="24" borderId="0" applyNumberFormat="0" applyBorder="0" applyAlignment="0" applyProtection="0">
      <alignment vertical="center"/>
    </xf>
    <xf numFmtId="0" fontId="27" fillId="19" borderId="0" applyNumberFormat="0" applyBorder="0" applyAlignment="0" applyProtection="0">
      <alignment vertical="center"/>
    </xf>
    <xf numFmtId="0" fontId="12" fillId="32" borderId="0" applyNumberFormat="0" applyBorder="0" applyAlignment="0" applyProtection="0">
      <alignment vertical="center"/>
    </xf>
    <xf numFmtId="0" fontId="21" fillId="12" borderId="0" applyNumberFormat="0" applyBorder="0" applyAlignment="0" applyProtection="0">
      <alignment vertical="center"/>
    </xf>
    <xf numFmtId="0" fontId="12" fillId="31"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21" fillId="17" borderId="0" applyNumberFormat="0" applyBorder="0" applyAlignment="0" applyProtection="0">
      <alignment vertical="center"/>
    </xf>
    <xf numFmtId="0" fontId="21" fillId="11" borderId="0" applyNumberFormat="0" applyBorder="0" applyAlignment="0" applyProtection="0">
      <alignment vertical="center"/>
    </xf>
    <xf numFmtId="0" fontId="12" fillId="29" borderId="0" applyNumberFormat="0" applyBorder="0" applyAlignment="0" applyProtection="0">
      <alignment vertical="center"/>
    </xf>
    <xf numFmtId="0" fontId="12" fillId="3" borderId="0" applyNumberFormat="0" applyBorder="0" applyAlignment="0" applyProtection="0">
      <alignment vertical="center"/>
    </xf>
    <xf numFmtId="0" fontId="21" fillId="10" borderId="0" applyNumberFormat="0" applyBorder="0" applyAlignment="0" applyProtection="0">
      <alignment vertical="center"/>
    </xf>
    <xf numFmtId="0" fontId="12" fillId="2" borderId="0" applyNumberFormat="0" applyBorder="0" applyAlignment="0" applyProtection="0">
      <alignment vertical="center"/>
    </xf>
    <xf numFmtId="0" fontId="21" fillId="27" borderId="0" applyNumberFormat="0" applyBorder="0" applyAlignment="0" applyProtection="0">
      <alignment vertical="center"/>
    </xf>
    <xf numFmtId="0" fontId="21" fillId="16" borderId="0" applyNumberFormat="0" applyBorder="0" applyAlignment="0" applyProtection="0">
      <alignment vertical="center"/>
    </xf>
    <xf numFmtId="0" fontId="12" fillId="7" borderId="0" applyNumberFormat="0" applyBorder="0" applyAlignment="0" applyProtection="0">
      <alignment vertical="center"/>
    </xf>
    <xf numFmtId="0" fontId="21" fillId="18" borderId="0" applyNumberFormat="0" applyBorder="0" applyAlignment="0" applyProtection="0">
      <alignment vertical="center"/>
    </xf>
  </cellStyleXfs>
  <cellXfs count="60">
    <xf numFmtId="0" fontId="0" fillId="0" borderId="0" xfId="0">
      <alignment vertical="center"/>
    </xf>
    <xf numFmtId="0" fontId="1" fillId="0" borderId="0" xfId="0" applyFont="1" applyAlignment="1">
      <alignment vertical="center" wrapText="1"/>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0" xfId="0" applyFont="1" applyFill="1">
      <alignment vertical="center"/>
    </xf>
    <xf numFmtId="0" fontId="1" fillId="0" borderId="0" xfId="0" applyFont="1">
      <alignment vertical="center"/>
    </xf>
    <xf numFmtId="0" fontId="5" fillId="0" borderId="0" xfId="0" applyFo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77" fontId="3" fillId="0" borderId="1" xfId="0" applyNumberFormat="1" applyFont="1" applyBorder="1" applyAlignment="1">
      <alignment horizontal="right" vertical="center" wrapText="1"/>
    </xf>
    <xf numFmtId="0" fontId="9"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wrapText="1"/>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10" fillId="0" borderId="6" xfId="0" applyFont="1" applyFill="1" applyBorder="1" applyAlignment="1">
      <alignment horizontal="left" vertical="center"/>
    </xf>
    <xf numFmtId="177" fontId="4" fillId="0" borderId="1" xfId="0" applyNumberFormat="1" applyFont="1" applyBorder="1" applyAlignment="1">
      <alignment horizontal="right" vertical="center" wrapText="1"/>
    </xf>
    <xf numFmtId="0" fontId="1" fillId="0" borderId="1" xfId="0"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177" fontId="1" fillId="0" borderId="1" xfId="0" applyNumberFormat="1" applyFont="1" applyBorder="1" applyAlignment="1">
      <alignment vertical="center" wrapText="1"/>
    </xf>
    <xf numFmtId="0" fontId="1" fillId="0" borderId="1" xfId="0" applyFont="1" applyBorder="1" applyAlignment="1">
      <alignment vertical="center" wrapText="1"/>
    </xf>
    <xf numFmtId="176" fontId="1" fillId="0" borderId="1" xfId="0" applyNumberFormat="1" applyFont="1" applyBorder="1" applyAlignment="1">
      <alignment vertical="center" wrapText="1"/>
    </xf>
    <xf numFmtId="0" fontId="1" fillId="0" borderId="8" xfId="0" applyFont="1" applyFill="1" applyBorder="1" applyAlignment="1">
      <alignment horizontal="center" vertical="center" wrapText="1"/>
    </xf>
    <xf numFmtId="176" fontId="1" fillId="0" borderId="1" xfId="0" applyNumberFormat="1" applyFont="1" applyFill="1" applyBorder="1" applyAlignment="1">
      <alignment vertical="center" wrapText="1"/>
    </xf>
    <xf numFmtId="0" fontId="1" fillId="0" borderId="9" xfId="0" applyFont="1" applyFill="1" applyBorder="1" applyAlignment="1">
      <alignment horizontal="center" vertical="center" wrapText="1"/>
    </xf>
    <xf numFmtId="0" fontId="1" fillId="0" borderId="4" xfId="0" applyFont="1" applyFill="1" applyBorder="1" applyAlignment="1">
      <alignment horizontal="left"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177" fontId="2" fillId="0" borderId="1" xfId="0" applyNumberFormat="1" applyFont="1" applyBorder="1" applyAlignment="1">
      <alignment vertical="center" wrapText="1"/>
    </xf>
    <xf numFmtId="176" fontId="1" fillId="0" borderId="1" xfId="0" applyNumberFormat="1" applyFont="1" applyBorder="1">
      <alignment vertical="center"/>
    </xf>
    <xf numFmtId="177" fontId="1" fillId="0" borderId="1" xfId="11" applyNumberFormat="1" applyFont="1" applyBorder="1" applyAlignment="1">
      <alignmen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177" fontId="4" fillId="0" borderId="9" xfId="0" applyNumberFormat="1" applyFont="1" applyFill="1" applyBorder="1" applyAlignment="1">
      <alignment horizontal="center" vertical="center" wrapText="1"/>
    </xf>
    <xf numFmtId="10" fontId="11" fillId="0" borderId="1" xfId="8"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4037;&#20316;&#25991;&#20214;\&#24050;&#23436;&#32467;&#23457;&#35745;&#19994;&#21153;\2023&#24180;&#23457;&#35745;&#19994;&#21153;\6%20&#24066;&#21830;&#21153;&#23616;2023&#24180;&#21439;&#22495;&#21830;&#19994;&#24314;&#35774;&#34892;&#21160;&#39033;&#30446;&#23457;&#26680;\2023&#24180;&#21439;&#22495;&#21830;&#19994;&#24314;&#35774;&#34892;&#21160;&#39033;&#30446;&#23457;&#26680;&#26126;&#32454;&#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复审表"/>
      <sheetName val="初审表"/>
      <sheetName val="1蔡甸邮政"/>
      <sheetName val="3林谷鲜"/>
      <sheetName val="4什湖粮油"/>
      <sheetName val="5坤航快递"/>
      <sheetName val="6微特派快递"/>
      <sheetName val="7劲宝食品"/>
      <sheetName val="8淘大集"/>
      <sheetName val="9司普来"/>
      <sheetName val="10农厚蔬菜"/>
      <sheetName val="11耳门绿野"/>
      <sheetName val="12市井荟"/>
      <sheetName val="13-14新洲市场开发中心"/>
      <sheetName val="15-16新洲市场开发中心"/>
      <sheetName val="2和17蔡甸、新洲京邦达"/>
      <sheetName val="18幸福里"/>
      <sheetName val="19阳逻港口"/>
      <sheetName val="20新港保税园"/>
      <sheetName val="21和润家"/>
      <sheetName val="22逍农食品"/>
      <sheetName val="23王福禄农业"/>
      <sheetName val="24阳逻购物广场"/>
      <sheetName val="25中百藏龙岛店"/>
      <sheetName val="26德邦物流"/>
      <sheetName val="27中百物流"/>
      <sheetName val="28云杉世界"/>
      <sheetName val="29菜惠园"/>
    </sheetNames>
    <sheetDataSet>
      <sheetData sheetId="0" refreshError="1"/>
      <sheetData sheetId="1" refreshError="1"/>
      <sheetData sheetId="2" refreshError="1"/>
      <sheetData sheetId="3" refreshError="1">
        <row r="15">
          <cell r="K15">
            <v>683127.47</v>
          </cell>
        </row>
      </sheetData>
      <sheetData sheetId="4" refreshError="1"/>
      <sheetData sheetId="5" refreshError="1">
        <row r="17">
          <cell r="L17">
            <v>367789.380530973</v>
          </cell>
        </row>
      </sheetData>
      <sheetData sheetId="6" refreshError="1">
        <row r="11">
          <cell r="L11">
            <v>3472584.11504425</v>
          </cell>
        </row>
      </sheetData>
      <sheetData sheetId="7" refreshError="1"/>
      <sheetData sheetId="8" refreshError="1">
        <row r="35">
          <cell r="W35">
            <v>197606.721415929</v>
          </cell>
        </row>
      </sheetData>
      <sheetData sheetId="9" refreshError="1"/>
      <sheetData sheetId="10" refreshError="1"/>
      <sheetData sheetId="11" refreshError="1"/>
      <sheetData sheetId="12" refreshError="1">
        <row r="9">
          <cell r="I9">
            <v>363688.73</v>
          </cell>
        </row>
      </sheetData>
      <sheetData sheetId="13" refreshError="1"/>
      <sheetData sheetId="14" refreshError="1"/>
      <sheetData sheetId="15" refreshError="1">
        <row r="6">
          <cell r="M6">
            <v>1012134.08849558</v>
          </cell>
        </row>
        <row r="13">
          <cell r="M13">
            <v>1452528.59292035</v>
          </cell>
        </row>
      </sheetData>
      <sheetData sheetId="16" refreshError="1"/>
      <sheetData sheetId="17" refreshError="1"/>
      <sheetData sheetId="18" refreshError="1">
        <row r="44">
          <cell r="K44">
            <v>2088937.79210177</v>
          </cell>
        </row>
      </sheetData>
      <sheetData sheetId="19" refreshError="1">
        <row r="24">
          <cell r="Z24">
            <v>1612570</v>
          </cell>
        </row>
      </sheetData>
      <sheetData sheetId="20" refreshError="1"/>
      <sheetData sheetId="21" refreshError="1">
        <row r="17">
          <cell r="I17">
            <v>290000</v>
          </cell>
        </row>
      </sheetData>
      <sheetData sheetId="22" refreshError="1">
        <row r="33">
          <cell r="L33">
            <v>6761998.54757408</v>
          </cell>
        </row>
      </sheetData>
      <sheetData sheetId="23" refreshError="1">
        <row r="35">
          <cell r="Z35">
            <v>3686924.01712538</v>
          </cell>
        </row>
      </sheetData>
      <sheetData sheetId="24" refreshError="1">
        <row r="35">
          <cell r="J35">
            <v>10230408.300885</v>
          </cell>
        </row>
      </sheetData>
      <sheetData sheetId="25" refreshError="1">
        <row r="48">
          <cell r="J48">
            <v>3347657.3807262</v>
          </cell>
        </row>
      </sheetData>
      <sheetData sheetId="26" refreshError="1">
        <row r="133">
          <cell r="AD133">
            <v>130837.168141593</v>
          </cell>
        </row>
      </sheetData>
      <sheetData sheetId="2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53"/>
  <sheetViews>
    <sheetView tabSelected="1" workbookViewId="0">
      <pane xSplit="5" ySplit="6" topLeftCell="F7" activePane="bottomRight" state="frozen"/>
      <selection/>
      <selection pane="topRight"/>
      <selection pane="bottomLeft"/>
      <selection pane="bottomRight" activeCell="A1" sqref="A1:L50"/>
    </sheetView>
  </sheetViews>
  <sheetFormatPr defaultColWidth="9" defaultRowHeight="12"/>
  <cols>
    <col min="1" max="1" width="3.91666666666667" style="9" customWidth="1"/>
    <col min="2" max="2" width="10.8333333333333" style="1" customWidth="1"/>
    <col min="3" max="3" width="10.6666666666667" style="1" customWidth="1"/>
    <col min="4" max="4" width="11.5" style="1" customWidth="1"/>
    <col min="5" max="5" width="6.25" style="10" customWidth="1"/>
    <col min="6" max="6" width="11.75" style="1" customWidth="1"/>
    <col min="7" max="7" width="9.66666666666667" style="1" customWidth="1"/>
    <col min="8" max="9" width="8.375" style="1" customWidth="1"/>
    <col min="10" max="10" width="11.8333333333333" style="1" customWidth="1"/>
    <col min="11" max="11" width="11" style="11" customWidth="1"/>
    <col min="12" max="12" width="46.25" style="12" customWidth="1"/>
    <col min="13" max="16384" width="9" style="7"/>
  </cols>
  <sheetData>
    <row r="1" spans="1:1">
      <c r="A1" s="9" t="s">
        <v>0</v>
      </c>
    </row>
    <row r="2" s="1" customFormat="1" ht="22.5" spans="1:12">
      <c r="A2" s="13" t="s">
        <v>1</v>
      </c>
      <c r="B2" s="13"/>
      <c r="C2" s="13"/>
      <c r="D2" s="13"/>
      <c r="E2" s="13"/>
      <c r="F2" s="13"/>
      <c r="G2" s="13"/>
      <c r="H2" s="13"/>
      <c r="I2" s="13"/>
      <c r="J2" s="13"/>
      <c r="K2" s="13"/>
      <c r="L2" s="13"/>
    </row>
    <row r="3" s="1" customFormat="1" ht="14.25" spans="1:12">
      <c r="A3" s="14" t="s">
        <v>2</v>
      </c>
      <c r="B3" s="14"/>
      <c r="C3" s="14"/>
      <c r="D3" s="14"/>
      <c r="E3" s="15"/>
      <c r="F3" s="14"/>
      <c r="G3" s="14"/>
      <c r="H3" s="14"/>
      <c r="I3" s="14"/>
      <c r="J3" s="14"/>
      <c r="K3" s="14"/>
      <c r="L3" s="14"/>
    </row>
    <row r="4" s="2" customFormat="1" spans="1:12">
      <c r="A4" s="16" t="s">
        <v>3</v>
      </c>
      <c r="B4" s="16" t="s">
        <v>4</v>
      </c>
      <c r="C4" s="16" t="s">
        <v>5</v>
      </c>
      <c r="D4" s="16" t="s">
        <v>6</v>
      </c>
      <c r="E4" s="16" t="s">
        <v>7</v>
      </c>
      <c r="F4" s="17"/>
      <c r="G4" s="17"/>
      <c r="H4" s="17"/>
      <c r="I4" s="17"/>
      <c r="J4" s="51"/>
      <c r="K4" s="19" t="s">
        <v>8</v>
      </c>
      <c r="L4" s="19" t="s">
        <v>9</v>
      </c>
    </row>
    <row r="5" s="2" customFormat="1" spans="1:12">
      <c r="A5" s="16"/>
      <c r="B5" s="16"/>
      <c r="C5" s="16"/>
      <c r="D5" s="16"/>
      <c r="E5" s="16"/>
      <c r="F5" s="18"/>
      <c r="G5" s="18"/>
      <c r="H5" s="18"/>
      <c r="I5" s="18"/>
      <c r="J5" s="52"/>
      <c r="K5" s="19"/>
      <c r="L5" s="19"/>
    </row>
    <row r="6" s="3" customFormat="1" ht="72" spans="1:12">
      <c r="A6" s="16"/>
      <c r="B6" s="16"/>
      <c r="C6" s="16"/>
      <c r="D6" s="16"/>
      <c r="E6" s="16"/>
      <c r="F6" s="19" t="s">
        <v>10</v>
      </c>
      <c r="G6" s="19" t="s">
        <v>11</v>
      </c>
      <c r="H6" s="16" t="s">
        <v>12</v>
      </c>
      <c r="I6" s="16" t="s">
        <v>13</v>
      </c>
      <c r="J6" s="16" t="s">
        <v>14</v>
      </c>
      <c r="K6" s="19"/>
      <c r="L6" s="19"/>
    </row>
    <row r="7" s="3" customFormat="1" ht="17" customHeight="1" spans="1:12">
      <c r="A7" s="20" t="s">
        <v>15</v>
      </c>
      <c r="B7" s="21"/>
      <c r="C7" s="22"/>
      <c r="D7" s="22"/>
      <c r="E7" s="22"/>
      <c r="F7" s="19"/>
      <c r="G7" s="19"/>
      <c r="H7" s="16"/>
      <c r="I7" s="16"/>
      <c r="J7" s="53">
        <v>618</v>
      </c>
      <c r="K7" s="19"/>
      <c r="L7" s="19"/>
    </row>
    <row r="8" s="3" customFormat="1" ht="17" customHeight="1" spans="1:12">
      <c r="A8" s="20" t="s">
        <v>16</v>
      </c>
      <c r="B8" s="21"/>
      <c r="C8" s="22"/>
      <c r="D8" s="22"/>
      <c r="E8" s="22"/>
      <c r="F8" s="19"/>
      <c r="G8" s="19"/>
      <c r="H8" s="16"/>
      <c r="I8" s="16"/>
      <c r="J8" s="54">
        <f>ROUND(J7/I9,4)</f>
        <v>0.9758</v>
      </c>
      <c r="K8" s="19"/>
      <c r="L8" s="19"/>
    </row>
    <row r="9" s="4" customFormat="1" ht="17" customHeight="1" spans="1:12">
      <c r="A9" s="23" t="s">
        <v>17</v>
      </c>
      <c r="B9" s="24"/>
      <c r="C9" s="24"/>
      <c r="D9" s="24"/>
      <c r="E9" s="25"/>
      <c r="F9" s="26">
        <f>SUM(F10,F31)</f>
        <v>5920.157825</v>
      </c>
      <c r="G9" s="26">
        <f t="shared" ref="F9:J9" si="0">SUM(G10,G31)</f>
        <v>1331.86</v>
      </c>
      <c r="H9" s="26">
        <f t="shared" si="0"/>
        <v>3569.87</v>
      </c>
      <c r="I9" s="26">
        <f t="shared" si="0"/>
        <v>633.3</v>
      </c>
      <c r="J9" s="26">
        <f t="shared" si="0"/>
        <v>618</v>
      </c>
      <c r="K9" s="55"/>
      <c r="L9" s="55"/>
    </row>
    <row r="10" s="4" customFormat="1" ht="17" customHeight="1" spans="1:12">
      <c r="A10" s="27" t="s">
        <v>18</v>
      </c>
      <c r="B10" s="28"/>
      <c r="C10" s="29"/>
      <c r="D10" s="29"/>
      <c r="E10" s="30"/>
      <c r="F10" s="26">
        <f t="shared" ref="F10:J10" si="1">SUM(F11,F16,F21,F26)</f>
        <v>5412.587825</v>
      </c>
      <c r="G10" s="26">
        <f t="shared" si="1"/>
        <v>1201.86</v>
      </c>
      <c r="H10" s="26">
        <f t="shared" si="1"/>
        <v>3569.87</v>
      </c>
      <c r="I10" s="26">
        <f t="shared" si="1"/>
        <v>633.3</v>
      </c>
      <c r="J10" s="26">
        <f t="shared" si="1"/>
        <v>618</v>
      </c>
      <c r="K10" s="55"/>
      <c r="L10" s="55"/>
    </row>
    <row r="11" s="5" customFormat="1" ht="17" customHeight="1" spans="1:12">
      <c r="A11" s="31" t="s">
        <v>19</v>
      </c>
      <c r="B11" s="32"/>
      <c r="C11" s="33"/>
      <c r="D11" s="33"/>
      <c r="E11" s="33"/>
      <c r="F11" s="34">
        <f t="shared" ref="F11:J11" si="2">SUM(F12:F15)</f>
        <v>1886.537825</v>
      </c>
      <c r="G11" s="34">
        <f t="shared" si="2"/>
        <v>659.65</v>
      </c>
      <c r="H11" s="34">
        <f t="shared" si="2"/>
        <v>1242.52</v>
      </c>
      <c r="I11" s="34">
        <f t="shared" si="2"/>
        <v>259.29</v>
      </c>
      <c r="J11" s="34">
        <f t="shared" si="2"/>
        <v>253.02</v>
      </c>
      <c r="K11" s="56"/>
      <c r="L11" s="56"/>
    </row>
    <row r="12" s="6" customFormat="1" ht="48" spans="1:256">
      <c r="A12" s="35">
        <v>1</v>
      </c>
      <c r="B12" s="36" t="s">
        <v>20</v>
      </c>
      <c r="C12" s="37" t="s">
        <v>21</v>
      </c>
      <c r="D12" s="37" t="s">
        <v>22</v>
      </c>
      <c r="E12" s="38" t="s">
        <v>23</v>
      </c>
      <c r="F12" s="39">
        <f>38.283025+0.002</f>
        <v>38.285025</v>
      </c>
      <c r="G12" s="40">
        <v>38</v>
      </c>
      <c r="H12" s="41">
        <f>ROUND('[1]12市井荟'!I9/10000,2)</f>
        <v>36.37</v>
      </c>
      <c r="I12" s="50">
        <f>IF(ROUND(H12*30%,2)&gt;100,100,ROUND(H12*30%,2))</f>
        <v>10.91</v>
      </c>
      <c r="J12" s="50">
        <f>ROUND(I12*$J$8,2)</f>
        <v>10.65</v>
      </c>
      <c r="K12" s="38" t="s">
        <v>24</v>
      </c>
      <c r="L12" s="57" t="s">
        <v>25</v>
      </c>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row>
    <row r="13" s="7" customFormat="1" ht="48" spans="1:256">
      <c r="A13" s="35">
        <v>2</v>
      </c>
      <c r="B13" s="42"/>
      <c r="C13" s="37" t="s">
        <v>26</v>
      </c>
      <c r="D13" s="37" t="s">
        <v>27</v>
      </c>
      <c r="E13" s="38" t="s">
        <v>28</v>
      </c>
      <c r="F13" s="43">
        <v>353.1028</v>
      </c>
      <c r="G13" s="37">
        <v>100</v>
      </c>
      <c r="H13" s="43">
        <f>ROUND('[1]21和润家'!Z24/10000,2)</f>
        <v>161.26</v>
      </c>
      <c r="I13" s="50">
        <f>IF(ROUND(H13*30%,2)&gt;100,100,ROUND(H13*30%,2))</f>
        <v>48.38</v>
      </c>
      <c r="J13" s="50">
        <f>ROUND(I13*$J$8,2)</f>
        <v>47.21</v>
      </c>
      <c r="K13" s="38" t="s">
        <v>24</v>
      </c>
      <c r="L13" s="57" t="s">
        <v>29</v>
      </c>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c r="IR13" s="6"/>
      <c r="IS13" s="6"/>
      <c r="IT13" s="6"/>
      <c r="IU13" s="6"/>
      <c r="IV13" s="6"/>
    </row>
    <row r="14" s="7" customFormat="1" ht="36" spans="1:12">
      <c r="A14" s="35">
        <v>3</v>
      </c>
      <c r="B14" s="42"/>
      <c r="C14" s="37" t="s">
        <v>30</v>
      </c>
      <c r="D14" s="37" t="s">
        <v>31</v>
      </c>
      <c r="E14" s="38" t="s">
        <v>28</v>
      </c>
      <c r="F14" s="40">
        <v>1073.5</v>
      </c>
      <c r="G14" s="40">
        <v>100</v>
      </c>
      <c r="H14" s="43">
        <f>ROUND('[1]24阳逻购物广场'!L33/10000,2)</f>
        <v>676.2</v>
      </c>
      <c r="I14" s="50">
        <f>IF(ROUND(H14*30%,2)&gt;100,100,ROUND(H14*30%,2))</f>
        <v>100</v>
      </c>
      <c r="J14" s="50">
        <f>ROUND(I14*$J$8,2)</f>
        <v>97.58</v>
      </c>
      <c r="K14" s="38" t="s">
        <v>24</v>
      </c>
      <c r="L14" s="57" t="s">
        <v>32</v>
      </c>
    </row>
    <row r="15" s="7" customFormat="1" ht="24" spans="1:12">
      <c r="A15" s="35">
        <v>4</v>
      </c>
      <c r="B15" s="44"/>
      <c r="C15" s="37" t="s">
        <v>30</v>
      </c>
      <c r="D15" s="37" t="s">
        <v>33</v>
      </c>
      <c r="E15" s="38" t="s">
        <v>34</v>
      </c>
      <c r="F15" s="40">
        <v>421.65</v>
      </c>
      <c r="G15" s="40">
        <v>421.65</v>
      </c>
      <c r="H15" s="41">
        <f>ROUND('[1]25中百藏龙岛店'!Z35/10000,2)</f>
        <v>368.69</v>
      </c>
      <c r="I15" s="50">
        <f>IF(ROUND(H15*30%,2)&gt;100,100,ROUND(H15*30%,2))</f>
        <v>100</v>
      </c>
      <c r="J15" s="50">
        <f>ROUND(I15*$J$8,2)</f>
        <v>97.58</v>
      </c>
      <c r="K15" s="38" t="s">
        <v>24</v>
      </c>
      <c r="L15" s="57" t="s">
        <v>35</v>
      </c>
    </row>
    <row r="16" s="5" customFormat="1" ht="17" customHeight="1" spans="1:12">
      <c r="A16" s="31" t="s">
        <v>36</v>
      </c>
      <c r="B16" s="32"/>
      <c r="C16" s="33"/>
      <c r="D16" s="33"/>
      <c r="E16" s="33"/>
      <c r="F16" s="34">
        <f t="shared" ref="F16:J16" si="3">SUM(F17:F20)</f>
        <v>1686.87</v>
      </c>
      <c r="G16" s="34">
        <f t="shared" si="3"/>
        <v>235.27</v>
      </c>
      <c r="H16" s="34">
        <f t="shared" si="3"/>
        <v>1306.28</v>
      </c>
      <c r="I16" s="34">
        <f t="shared" si="3"/>
        <v>184.97</v>
      </c>
      <c r="J16" s="34">
        <f t="shared" si="3"/>
        <v>180.5</v>
      </c>
      <c r="K16" s="56"/>
      <c r="L16" s="56"/>
    </row>
    <row r="17" s="6" customFormat="1" ht="36" spans="1:12">
      <c r="A17" s="35">
        <v>5</v>
      </c>
      <c r="B17" s="36" t="s">
        <v>37</v>
      </c>
      <c r="C17" s="37" t="s">
        <v>38</v>
      </c>
      <c r="D17" s="37" t="s">
        <v>39</v>
      </c>
      <c r="E17" s="38" t="s">
        <v>40</v>
      </c>
      <c r="F17" s="40">
        <v>114.37</v>
      </c>
      <c r="G17" s="40">
        <v>34.31</v>
      </c>
      <c r="H17" s="43">
        <f>ROUND('[1]2和17蔡甸、新洲京邦达'!M6/10000,2)</f>
        <v>101.21</v>
      </c>
      <c r="I17" s="50">
        <f>IF(ROUND(H17*30%,2)&gt;100,100,ROUND(H17*30%,2))</f>
        <v>30.36</v>
      </c>
      <c r="J17" s="50">
        <f>ROUND(I17*$J$8,2)</f>
        <v>29.63</v>
      </c>
      <c r="K17" s="38" t="s">
        <v>24</v>
      </c>
      <c r="L17" s="57" t="s">
        <v>41</v>
      </c>
    </row>
    <row r="18" s="7" customFormat="1" ht="48" spans="1:12">
      <c r="A18" s="35">
        <v>6</v>
      </c>
      <c r="B18" s="42"/>
      <c r="C18" s="37" t="s">
        <v>42</v>
      </c>
      <c r="D18" s="37" t="s">
        <v>43</v>
      </c>
      <c r="E18" s="38" t="s">
        <v>23</v>
      </c>
      <c r="F18" s="40">
        <v>162.94</v>
      </c>
      <c r="G18" s="40">
        <v>50</v>
      </c>
      <c r="H18" s="41">
        <f>ROUND('[1]5坤航快递'!L17/10000,2)</f>
        <v>36.78</v>
      </c>
      <c r="I18" s="50">
        <f>IF(ROUND(H18*30%,2)&gt;100,100,ROUND(H18*30%,2))</f>
        <v>11.03</v>
      </c>
      <c r="J18" s="50">
        <f>ROUND(I18*$J$8,2)</f>
        <v>10.76</v>
      </c>
      <c r="K18" s="38" t="s">
        <v>24</v>
      </c>
      <c r="L18" s="57" t="s">
        <v>44</v>
      </c>
    </row>
    <row r="19" s="7" customFormat="1" ht="36" spans="1:12">
      <c r="A19" s="35">
        <v>7</v>
      </c>
      <c r="B19" s="42"/>
      <c r="C19" s="37" t="s">
        <v>38</v>
      </c>
      <c r="D19" s="37" t="s">
        <v>45</v>
      </c>
      <c r="E19" s="38" t="s">
        <v>28</v>
      </c>
      <c r="F19" s="40">
        <v>169.87</v>
      </c>
      <c r="G19" s="40">
        <v>50.96</v>
      </c>
      <c r="H19" s="43">
        <f>ROUND('[1]2和17蔡甸、新洲京邦达'!M13/10000,2)</f>
        <v>145.25</v>
      </c>
      <c r="I19" s="50">
        <f>IF(ROUND(H19*30%,2)&gt;100,100,ROUND(H19*30%,2))</f>
        <v>43.58</v>
      </c>
      <c r="J19" s="50">
        <f>ROUND(I19*$J$8,2)</f>
        <v>42.53</v>
      </c>
      <c r="K19" s="38" t="s">
        <v>24</v>
      </c>
      <c r="L19" s="57" t="s">
        <v>46</v>
      </c>
    </row>
    <row r="20" s="7" customFormat="1" ht="48" spans="1:12">
      <c r="A20" s="35">
        <v>8</v>
      </c>
      <c r="B20" s="44"/>
      <c r="C20" s="37" t="s">
        <v>47</v>
      </c>
      <c r="D20" s="37" t="s">
        <v>48</v>
      </c>
      <c r="E20" s="38" t="s">
        <v>34</v>
      </c>
      <c r="F20" s="40">
        <v>1239.69</v>
      </c>
      <c r="G20" s="40">
        <v>100</v>
      </c>
      <c r="H20" s="41">
        <f>ROUND('[1]26德邦物流'!J35/10000,2)</f>
        <v>1023.04</v>
      </c>
      <c r="I20" s="50">
        <f>IF(ROUND(H20*30%,2)&gt;100,100,ROUND(H20*30%,2))</f>
        <v>100</v>
      </c>
      <c r="J20" s="50">
        <f>ROUND(I20*$J$8,2)</f>
        <v>97.58</v>
      </c>
      <c r="K20" s="38" t="s">
        <v>24</v>
      </c>
      <c r="L20" s="57" t="s">
        <v>49</v>
      </c>
    </row>
    <row r="21" s="5" customFormat="1" ht="17" customHeight="1" spans="1:12">
      <c r="A21" s="31" t="s">
        <v>50</v>
      </c>
      <c r="B21" s="32"/>
      <c r="C21" s="33"/>
      <c r="D21" s="33"/>
      <c r="E21" s="33"/>
      <c r="F21" s="34">
        <f t="shared" ref="F21:J21" si="4">SUM(F22:F25)</f>
        <v>1533.1</v>
      </c>
      <c r="G21" s="34">
        <f t="shared" si="4"/>
        <v>218</v>
      </c>
      <c r="H21" s="34">
        <f t="shared" si="4"/>
        <v>910.68</v>
      </c>
      <c r="I21" s="34">
        <f t="shared" si="4"/>
        <v>155.93</v>
      </c>
      <c r="J21" s="34">
        <f t="shared" si="4"/>
        <v>152.16</v>
      </c>
      <c r="K21" s="56"/>
      <c r="L21" s="56"/>
    </row>
    <row r="22" s="7" customFormat="1" ht="36" spans="1:12">
      <c r="A22" s="35">
        <v>9</v>
      </c>
      <c r="B22" s="36" t="s">
        <v>51</v>
      </c>
      <c r="C22" s="37" t="s">
        <v>52</v>
      </c>
      <c r="D22" s="37" t="s">
        <v>53</v>
      </c>
      <c r="E22" s="38" t="s">
        <v>23</v>
      </c>
      <c r="F22" s="40">
        <v>392</v>
      </c>
      <c r="G22" s="40">
        <v>50</v>
      </c>
      <c r="H22" s="41">
        <f>ROUND('[1]6微特派快递'!L11/10000,2)</f>
        <v>347.26</v>
      </c>
      <c r="I22" s="50">
        <f>IF(ROUND(H22*30%,2)&gt;50,50,ROUND(H22*30%,2))</f>
        <v>50</v>
      </c>
      <c r="J22" s="50">
        <f>ROUND(I22*$J$8,2)</f>
        <v>48.79</v>
      </c>
      <c r="K22" s="38" t="s">
        <v>24</v>
      </c>
      <c r="L22" s="57" t="s">
        <v>54</v>
      </c>
    </row>
    <row r="23" s="7" customFormat="1" ht="60" spans="1:12">
      <c r="A23" s="35">
        <v>10</v>
      </c>
      <c r="B23" s="42"/>
      <c r="C23" s="37" t="s">
        <v>55</v>
      </c>
      <c r="D23" s="37" t="s">
        <v>56</v>
      </c>
      <c r="E23" s="38" t="s">
        <v>23</v>
      </c>
      <c r="F23" s="40">
        <v>60</v>
      </c>
      <c r="G23" s="40">
        <v>18</v>
      </c>
      <c r="H23" s="41">
        <f>ROUND('[1]8淘大集'!W35/10000,2)</f>
        <v>19.76</v>
      </c>
      <c r="I23" s="50">
        <f>IF(ROUND(H23*30%,2)&gt;50,50,ROUND(H23*30%,2))</f>
        <v>5.93</v>
      </c>
      <c r="J23" s="50">
        <f>ROUND(I23*$J$8,2)</f>
        <v>5.79</v>
      </c>
      <c r="K23" s="38" t="s">
        <v>24</v>
      </c>
      <c r="L23" s="57" t="s">
        <v>57</v>
      </c>
    </row>
    <row r="24" s="7" customFormat="1" ht="60" spans="1:12">
      <c r="A24" s="35">
        <v>11</v>
      </c>
      <c r="B24" s="42"/>
      <c r="C24" s="37" t="s">
        <v>58</v>
      </c>
      <c r="D24" s="37" t="s">
        <v>59</v>
      </c>
      <c r="E24" s="38" t="s">
        <v>28</v>
      </c>
      <c r="F24" s="40">
        <v>305.58</v>
      </c>
      <c r="G24" s="40">
        <v>50</v>
      </c>
      <c r="H24" s="43">
        <f>ROUND('[1]20新港保税园'!$K$44/10000,2)</f>
        <v>208.89</v>
      </c>
      <c r="I24" s="50">
        <f>IF(ROUND(H24*30%,2)&gt;50,50,ROUND(H24*30%,2))</f>
        <v>50</v>
      </c>
      <c r="J24" s="50">
        <f>ROUND(I24*$J$8,2)</f>
        <v>48.79</v>
      </c>
      <c r="K24" s="38" t="s">
        <v>24</v>
      </c>
      <c r="L24" s="57" t="s">
        <v>60</v>
      </c>
    </row>
    <row r="25" s="7" customFormat="1" ht="60" spans="1:12">
      <c r="A25" s="35">
        <v>12</v>
      </c>
      <c r="B25" s="44"/>
      <c r="C25" s="37" t="s">
        <v>61</v>
      </c>
      <c r="D25" s="37" t="s">
        <v>62</v>
      </c>
      <c r="E25" s="38" t="s">
        <v>34</v>
      </c>
      <c r="F25" s="40">
        <v>775.52</v>
      </c>
      <c r="G25" s="40">
        <v>100</v>
      </c>
      <c r="H25" s="41">
        <f>ROUND('[1]27中百物流'!J48/10000,2)</f>
        <v>334.77</v>
      </c>
      <c r="I25" s="50">
        <f>IF(ROUND(H25*30%,2)&gt;50,50,ROUND(H25*30%,2))</f>
        <v>50</v>
      </c>
      <c r="J25" s="50">
        <f>ROUND(I25*$J$8,2)</f>
        <v>48.79</v>
      </c>
      <c r="K25" s="38" t="s">
        <v>24</v>
      </c>
      <c r="L25" s="57" t="s">
        <v>63</v>
      </c>
    </row>
    <row r="26" s="5" customFormat="1" ht="17" customHeight="1" spans="1:12">
      <c r="A26" s="31" t="s">
        <v>64</v>
      </c>
      <c r="B26" s="32"/>
      <c r="C26" s="33"/>
      <c r="D26" s="33"/>
      <c r="E26" s="33"/>
      <c r="F26" s="34">
        <f t="shared" ref="F26:J26" si="5">SUM(F27:F29)</f>
        <v>306.08</v>
      </c>
      <c r="G26" s="34">
        <f t="shared" si="5"/>
        <v>88.94</v>
      </c>
      <c r="H26" s="34">
        <f t="shared" si="5"/>
        <v>110.39</v>
      </c>
      <c r="I26" s="34">
        <f t="shared" si="5"/>
        <v>33.11</v>
      </c>
      <c r="J26" s="34">
        <f t="shared" si="5"/>
        <v>32.32</v>
      </c>
      <c r="K26" s="56"/>
      <c r="L26" s="56"/>
    </row>
    <row r="27" s="7" customFormat="1" ht="60" spans="1:12">
      <c r="A27" s="35">
        <v>13</v>
      </c>
      <c r="B27" s="36" t="s">
        <v>65</v>
      </c>
      <c r="C27" s="37" t="s">
        <v>66</v>
      </c>
      <c r="D27" s="37" t="s">
        <v>67</v>
      </c>
      <c r="E27" s="38" t="s">
        <v>40</v>
      </c>
      <c r="F27" s="40">
        <v>89</v>
      </c>
      <c r="G27" s="40">
        <f>ROUND(79.45*30%,2)</f>
        <v>23.84</v>
      </c>
      <c r="H27" s="41">
        <f>ROUND('[1]3林谷鲜'!K15/10000,2)</f>
        <v>68.31</v>
      </c>
      <c r="I27" s="50">
        <f>IF(ROUND(H27*30%,2)&gt;50,50,ROUND(H27*30%,2))</f>
        <v>20.49</v>
      </c>
      <c r="J27" s="50">
        <f>ROUND(I27*$J$8,2)</f>
        <v>19.99</v>
      </c>
      <c r="K27" s="38" t="s">
        <v>24</v>
      </c>
      <c r="L27" s="57" t="s">
        <v>68</v>
      </c>
    </row>
    <row r="28" s="7" customFormat="1" ht="48" spans="1:12">
      <c r="A28" s="35">
        <v>14</v>
      </c>
      <c r="B28" s="42"/>
      <c r="C28" s="37" t="s">
        <v>69</v>
      </c>
      <c r="D28" s="38" t="s">
        <v>70</v>
      </c>
      <c r="E28" s="38" t="s">
        <v>28</v>
      </c>
      <c r="F28" s="40">
        <v>96</v>
      </c>
      <c r="G28" s="40">
        <v>28.8</v>
      </c>
      <c r="H28" s="43">
        <f>ROUND('[1]23王福禄农业'!I17/10000,2)</f>
        <v>29</v>
      </c>
      <c r="I28" s="50">
        <f>IF(ROUND(H28*30%,2)&gt;50,50,ROUND(H28*30%,2))</f>
        <v>8.7</v>
      </c>
      <c r="J28" s="50">
        <f>ROUND(I28*$J$8,2)</f>
        <v>8.49</v>
      </c>
      <c r="K28" s="38" t="s">
        <v>24</v>
      </c>
      <c r="L28" s="57" t="s">
        <v>71</v>
      </c>
    </row>
    <row r="29" s="7" customFormat="1" ht="60" spans="1:12">
      <c r="A29" s="35">
        <v>15</v>
      </c>
      <c r="B29" s="44"/>
      <c r="C29" s="37" t="s">
        <v>72</v>
      </c>
      <c r="D29" s="37" t="s">
        <v>73</v>
      </c>
      <c r="E29" s="38" t="s">
        <v>34</v>
      </c>
      <c r="F29" s="40">
        <v>121.08</v>
      </c>
      <c r="G29" s="40">
        <v>36.3</v>
      </c>
      <c r="H29" s="41">
        <f>ROUND('[1]28云杉世界'!AD133/10000,2)</f>
        <v>13.08</v>
      </c>
      <c r="I29" s="50">
        <f>IF(ROUND(H29*30%,2)&gt;50,50,ROUND(H29*30%,2))</f>
        <v>3.92</v>
      </c>
      <c r="J29" s="50">
        <f>ROUND(I29*$J$8,2)+0.01</f>
        <v>3.84</v>
      </c>
      <c r="K29" s="38" t="s">
        <v>24</v>
      </c>
      <c r="L29" s="57" t="s">
        <v>74</v>
      </c>
    </row>
    <row r="30" s="7" customFormat="1" ht="16" customHeight="1" spans="1:12">
      <c r="A30" s="45" t="s">
        <v>75</v>
      </c>
      <c r="B30" s="46"/>
      <c r="C30" s="47"/>
      <c r="D30" s="47"/>
      <c r="E30" s="47"/>
      <c r="F30" s="40"/>
      <c r="G30" s="40"/>
      <c r="H30" s="41"/>
      <c r="I30" s="50"/>
      <c r="J30" s="50"/>
      <c r="K30" s="38"/>
      <c r="L30" s="57"/>
    </row>
    <row r="31" s="8" customFormat="1" ht="14.25" spans="1:256">
      <c r="A31" s="27" t="s">
        <v>76</v>
      </c>
      <c r="B31" s="28"/>
      <c r="C31" s="29"/>
      <c r="D31" s="29"/>
      <c r="E31" s="30"/>
      <c r="F31" s="48">
        <f>SUM(F46:F48)</f>
        <v>507.57</v>
      </c>
      <c r="G31" s="48">
        <f>SUM(G46:G48)</f>
        <v>130</v>
      </c>
      <c r="H31" s="48">
        <f>SUM(H46:H48)</f>
        <v>0</v>
      </c>
      <c r="I31" s="48">
        <f>SUM(I46:I48)</f>
        <v>0</v>
      </c>
      <c r="J31" s="48"/>
      <c r="K31" s="48">
        <f>SUM(K46:K48)</f>
        <v>0</v>
      </c>
      <c r="L31" s="58"/>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8" customFormat="1" ht="14.25" spans="1:256">
      <c r="A32" s="31" t="s">
        <v>19</v>
      </c>
      <c r="B32" s="32"/>
      <c r="C32" s="33"/>
      <c r="D32" s="33"/>
      <c r="E32" s="33"/>
      <c r="F32" s="48"/>
      <c r="G32" s="48"/>
      <c r="H32" s="48"/>
      <c r="I32" s="48"/>
      <c r="J32" s="48"/>
      <c r="K32" s="48"/>
      <c r="L32" s="58"/>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7" customFormat="1" ht="108" spans="1:12">
      <c r="A33" s="35">
        <v>1</v>
      </c>
      <c r="B33" s="36" t="s">
        <v>20</v>
      </c>
      <c r="C33" s="37" t="s">
        <v>77</v>
      </c>
      <c r="D33" s="37" t="s">
        <v>78</v>
      </c>
      <c r="E33" s="38" t="s">
        <v>28</v>
      </c>
      <c r="F33" s="40">
        <v>583.67</v>
      </c>
      <c r="G33" s="40">
        <v>100</v>
      </c>
      <c r="H33" s="41">
        <v>0</v>
      </c>
      <c r="I33" s="50">
        <f t="shared" ref="I33:I41" si="6">IF(ROUND(H33*30%,2)&gt;100,100,ROUND(H33*30%,2))</f>
        <v>0</v>
      </c>
      <c r="J33" s="50"/>
      <c r="K33" s="35" t="s">
        <v>79</v>
      </c>
      <c r="L33" s="57" t="s">
        <v>80</v>
      </c>
    </row>
    <row r="34" s="7" customFormat="1" ht="108" spans="1:12">
      <c r="A34" s="35">
        <v>2</v>
      </c>
      <c r="B34" s="42"/>
      <c r="C34" s="37" t="s">
        <v>77</v>
      </c>
      <c r="D34" s="37" t="s">
        <v>81</v>
      </c>
      <c r="E34" s="38" t="s">
        <v>28</v>
      </c>
      <c r="F34" s="40">
        <v>883.97</v>
      </c>
      <c r="G34" s="40">
        <v>100</v>
      </c>
      <c r="H34" s="41">
        <v>0</v>
      </c>
      <c r="I34" s="50">
        <f t="shared" si="6"/>
        <v>0</v>
      </c>
      <c r="J34" s="50"/>
      <c r="K34" s="35" t="s">
        <v>79</v>
      </c>
      <c r="L34" s="57" t="s">
        <v>80</v>
      </c>
    </row>
    <row r="35" s="7" customFormat="1" ht="108" spans="1:12">
      <c r="A35" s="35">
        <v>3</v>
      </c>
      <c r="B35" s="42"/>
      <c r="C35" s="37" t="s">
        <v>77</v>
      </c>
      <c r="D35" s="37" t="s">
        <v>82</v>
      </c>
      <c r="E35" s="38" t="s">
        <v>28</v>
      </c>
      <c r="F35" s="40">
        <v>209.74</v>
      </c>
      <c r="G35" s="40">
        <v>63</v>
      </c>
      <c r="H35" s="41">
        <v>0</v>
      </c>
      <c r="I35" s="50">
        <f t="shared" si="6"/>
        <v>0</v>
      </c>
      <c r="J35" s="50"/>
      <c r="K35" s="35" t="s">
        <v>79</v>
      </c>
      <c r="L35" s="57" t="s">
        <v>83</v>
      </c>
    </row>
    <row r="36" s="7" customFormat="1" ht="108" spans="1:12">
      <c r="A36" s="35">
        <v>4</v>
      </c>
      <c r="B36" s="42"/>
      <c r="C36" s="37" t="s">
        <v>77</v>
      </c>
      <c r="D36" s="37" t="s">
        <v>84</v>
      </c>
      <c r="E36" s="38" t="s">
        <v>28</v>
      </c>
      <c r="F36" s="40">
        <v>180.21</v>
      </c>
      <c r="G36" s="40">
        <v>54</v>
      </c>
      <c r="H36" s="41">
        <v>0</v>
      </c>
      <c r="I36" s="50">
        <f t="shared" si="6"/>
        <v>0</v>
      </c>
      <c r="J36" s="50"/>
      <c r="K36" s="35" t="s">
        <v>79</v>
      </c>
      <c r="L36" s="57" t="s">
        <v>85</v>
      </c>
    </row>
    <row r="37" s="7" customFormat="1" ht="96" spans="1:12">
      <c r="A37" s="35">
        <v>5</v>
      </c>
      <c r="B37" s="42"/>
      <c r="C37" s="37" t="s">
        <v>86</v>
      </c>
      <c r="D37" s="37" t="s">
        <v>87</v>
      </c>
      <c r="E37" s="38" t="s">
        <v>28</v>
      </c>
      <c r="F37" s="41">
        <v>220.3268</v>
      </c>
      <c r="G37" s="40">
        <v>50</v>
      </c>
      <c r="H37" s="43" t="e">
        <f>#REF!</f>
        <v>#REF!</v>
      </c>
      <c r="I37" s="50" t="e">
        <f t="shared" si="6"/>
        <v>#REF!</v>
      </c>
      <c r="J37" s="50"/>
      <c r="K37" s="35" t="s">
        <v>79</v>
      </c>
      <c r="L37" s="57" t="s">
        <v>88</v>
      </c>
    </row>
    <row r="38" s="7" customFormat="1" ht="108" spans="1:12">
      <c r="A38" s="35">
        <v>6</v>
      </c>
      <c r="B38" s="42"/>
      <c r="C38" s="37" t="s">
        <v>89</v>
      </c>
      <c r="D38" s="37" t="s">
        <v>90</v>
      </c>
      <c r="E38" s="38" t="s">
        <v>28</v>
      </c>
      <c r="F38" s="49">
        <v>199762.7</v>
      </c>
      <c r="G38" s="40">
        <v>100</v>
      </c>
      <c r="H38" s="41">
        <v>0</v>
      </c>
      <c r="I38" s="50">
        <f t="shared" si="6"/>
        <v>0</v>
      </c>
      <c r="J38" s="50"/>
      <c r="K38" s="35" t="s">
        <v>79</v>
      </c>
      <c r="L38" s="57" t="s">
        <v>91</v>
      </c>
    </row>
    <row r="39" s="7" customFormat="1" ht="96" spans="1:12">
      <c r="A39" s="35">
        <v>7</v>
      </c>
      <c r="B39" s="44"/>
      <c r="C39" s="37" t="s">
        <v>92</v>
      </c>
      <c r="D39" s="37" t="s">
        <v>93</v>
      </c>
      <c r="E39" s="38" t="s">
        <v>34</v>
      </c>
      <c r="F39" s="40">
        <v>384.87</v>
      </c>
      <c r="G39" s="40">
        <v>100</v>
      </c>
      <c r="H39" s="41" t="e">
        <f>#REF!</f>
        <v>#REF!</v>
      </c>
      <c r="I39" s="50" t="e">
        <f t="shared" si="6"/>
        <v>#REF!</v>
      </c>
      <c r="J39" s="50"/>
      <c r="K39" s="35" t="s">
        <v>79</v>
      </c>
      <c r="L39" s="57" t="s">
        <v>94</v>
      </c>
    </row>
    <row r="40" s="8" customFormat="1" ht="14.25" spans="1:256">
      <c r="A40" s="31" t="s">
        <v>36</v>
      </c>
      <c r="B40" s="32"/>
      <c r="C40" s="33"/>
      <c r="D40" s="33"/>
      <c r="E40" s="33"/>
      <c r="F40" s="48"/>
      <c r="G40" s="48"/>
      <c r="H40" s="48"/>
      <c r="I40" s="48"/>
      <c r="J40" s="48"/>
      <c r="K40" s="48"/>
      <c r="L40" s="58"/>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row>
    <row r="41" s="7" customFormat="1" ht="96" spans="1:12">
      <c r="A41" s="35">
        <v>8</v>
      </c>
      <c r="B41" s="36" t="s">
        <v>37</v>
      </c>
      <c r="C41" s="37" t="s">
        <v>95</v>
      </c>
      <c r="D41" s="37" t="s">
        <v>96</v>
      </c>
      <c r="E41" s="38" t="s">
        <v>40</v>
      </c>
      <c r="F41" s="40">
        <v>242</v>
      </c>
      <c r="G41" s="40">
        <v>72.6</v>
      </c>
      <c r="H41" s="50">
        <v>0</v>
      </c>
      <c r="I41" s="50">
        <f>IF(ROUND(H41*30%,2)&gt;100,100,ROUND(H41*30%,2))</f>
        <v>0</v>
      </c>
      <c r="J41" s="50"/>
      <c r="K41" s="38" t="s">
        <v>79</v>
      </c>
      <c r="L41" s="57" t="s">
        <v>97</v>
      </c>
    </row>
    <row r="42" s="7" customFormat="1" ht="192" spans="1:12">
      <c r="A42" s="35">
        <v>9</v>
      </c>
      <c r="B42" s="44"/>
      <c r="C42" s="37" t="s">
        <v>98</v>
      </c>
      <c r="D42" s="37" t="s">
        <v>99</v>
      </c>
      <c r="E42" s="38" t="s">
        <v>23</v>
      </c>
      <c r="F42" s="40">
        <v>1172</v>
      </c>
      <c r="G42" s="40">
        <v>100</v>
      </c>
      <c r="H42" s="41">
        <v>0</v>
      </c>
      <c r="I42" s="50">
        <f>IF(ROUND(H42*30%,2)&gt;100,100,ROUND(H42*30%,2))</f>
        <v>0</v>
      </c>
      <c r="J42" s="50"/>
      <c r="K42" s="38" t="s">
        <v>79</v>
      </c>
      <c r="L42" s="57" t="s">
        <v>100</v>
      </c>
    </row>
    <row r="43" s="8" customFormat="1" ht="14.25" spans="1:256">
      <c r="A43" s="31" t="s">
        <v>50</v>
      </c>
      <c r="B43" s="32"/>
      <c r="C43" s="33"/>
      <c r="D43" s="33"/>
      <c r="E43" s="33"/>
      <c r="F43" s="48"/>
      <c r="G43" s="48"/>
      <c r="H43" s="48"/>
      <c r="I43" s="48"/>
      <c r="J43" s="48"/>
      <c r="K43" s="48"/>
      <c r="L43" s="58"/>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row>
    <row r="44" s="7" customFormat="1" ht="84" spans="1:12">
      <c r="A44" s="35">
        <v>10</v>
      </c>
      <c r="B44" s="37" t="s">
        <v>51</v>
      </c>
      <c r="C44" s="37" t="s">
        <v>101</v>
      </c>
      <c r="D44" s="37" t="s">
        <v>102</v>
      </c>
      <c r="E44" s="38" t="s">
        <v>23</v>
      </c>
      <c r="F44" s="40">
        <v>220</v>
      </c>
      <c r="G44" s="40">
        <v>220</v>
      </c>
      <c r="H44" s="41">
        <v>0</v>
      </c>
      <c r="I44" s="50">
        <f>IF(ROUND(H44*30%,2)&gt;50,50,ROUND(H44*30%,2))</f>
        <v>0</v>
      </c>
      <c r="J44" s="50"/>
      <c r="K44" s="38" t="s">
        <v>79</v>
      </c>
      <c r="L44" s="57" t="s">
        <v>103</v>
      </c>
    </row>
    <row r="45" s="8" customFormat="1" ht="14.25" spans="1:256">
      <c r="A45" s="31" t="s">
        <v>64</v>
      </c>
      <c r="B45" s="32"/>
      <c r="C45" s="33"/>
      <c r="D45" s="33"/>
      <c r="E45" s="33"/>
      <c r="F45" s="48"/>
      <c r="G45" s="48"/>
      <c r="H45" s="48"/>
      <c r="I45" s="48"/>
      <c r="J45" s="48"/>
      <c r="K45" s="48"/>
      <c r="L45" s="58"/>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row>
    <row r="46" s="7" customFormat="1" ht="96" spans="1:12">
      <c r="A46" s="35">
        <v>11</v>
      </c>
      <c r="B46" s="36" t="s">
        <v>65</v>
      </c>
      <c r="C46" s="37" t="s">
        <v>104</v>
      </c>
      <c r="D46" s="37" t="s">
        <v>105</v>
      </c>
      <c r="E46" s="38" t="s">
        <v>40</v>
      </c>
      <c r="F46" s="40">
        <v>217.2</v>
      </c>
      <c r="G46" s="40">
        <v>50</v>
      </c>
      <c r="H46" s="41">
        <v>0</v>
      </c>
      <c r="I46" s="50">
        <f>IF(ROUND(H46*30%,2)&gt;50,50,ROUND(H46*30%,2))</f>
        <v>0</v>
      </c>
      <c r="J46" s="50"/>
      <c r="K46" s="38" t="s">
        <v>79</v>
      </c>
      <c r="L46" s="57" t="s">
        <v>106</v>
      </c>
    </row>
    <row r="47" s="7" customFormat="1" ht="84" spans="1:12">
      <c r="A47" s="35">
        <v>12</v>
      </c>
      <c r="B47" s="42"/>
      <c r="C47" s="37" t="s">
        <v>107</v>
      </c>
      <c r="D47" s="37" t="s">
        <v>108</v>
      </c>
      <c r="E47" s="38" t="s">
        <v>23</v>
      </c>
      <c r="F47" s="40">
        <v>103.37</v>
      </c>
      <c r="G47" s="40">
        <v>30</v>
      </c>
      <c r="H47" s="41">
        <v>0</v>
      </c>
      <c r="I47" s="50">
        <f>IF(ROUND(H47*30%,2)&gt;50,50,ROUND(H47*30%,2))</f>
        <v>0</v>
      </c>
      <c r="J47" s="50"/>
      <c r="K47" s="38" t="s">
        <v>79</v>
      </c>
      <c r="L47" s="57" t="s">
        <v>109</v>
      </c>
    </row>
    <row r="48" s="6" customFormat="1" ht="96" spans="1:12">
      <c r="A48" s="35">
        <v>13</v>
      </c>
      <c r="B48" s="44"/>
      <c r="C48" s="37" t="s">
        <v>110</v>
      </c>
      <c r="D48" s="38" t="s">
        <v>111</v>
      </c>
      <c r="E48" s="38" t="s">
        <v>28</v>
      </c>
      <c r="F48" s="37">
        <v>187</v>
      </c>
      <c r="G48" s="37">
        <v>50</v>
      </c>
      <c r="H48" s="43">
        <v>0</v>
      </c>
      <c r="I48" s="50">
        <f>IF(ROUND(H48*30%,2)&gt;50,50,ROUND(H48*30%,2))</f>
        <v>0</v>
      </c>
      <c r="J48" s="50"/>
      <c r="K48" s="35" t="s">
        <v>79</v>
      </c>
      <c r="L48" s="59" t="s">
        <v>112</v>
      </c>
    </row>
    <row r="49" ht="20" customHeight="1" spans="1:5">
      <c r="A49" s="45" t="s">
        <v>113</v>
      </c>
      <c r="B49" s="46"/>
      <c r="C49" s="47"/>
      <c r="D49" s="47"/>
      <c r="E49" s="47"/>
    </row>
    <row r="50" s="7" customFormat="1" ht="96" spans="1:12">
      <c r="A50" s="35">
        <v>14</v>
      </c>
      <c r="B50" s="37" t="s">
        <v>114</v>
      </c>
      <c r="C50" s="37" t="s">
        <v>115</v>
      </c>
      <c r="D50" s="37" t="s">
        <v>116</v>
      </c>
      <c r="E50" s="38" t="s">
        <v>23</v>
      </c>
      <c r="F50" s="40">
        <v>191.59</v>
      </c>
      <c r="G50" s="40">
        <v>191.59</v>
      </c>
      <c r="H50" s="41">
        <v>0</v>
      </c>
      <c r="I50" s="50">
        <f>IF(ROUND(H50*30%,2)&gt;50,50,ROUND(H50*30%,2))</f>
        <v>0</v>
      </c>
      <c r="J50" s="50"/>
      <c r="K50" s="38" t="s">
        <v>79</v>
      </c>
      <c r="L50" s="57" t="s">
        <v>117</v>
      </c>
    </row>
    <row r="53" spans="5:12">
      <c r="E53" s="1"/>
      <c r="K53" s="1"/>
      <c r="L53" s="1"/>
    </row>
  </sheetData>
  <sortState ref="A11:IW25">
    <sortCondition ref="E11:E25"/>
  </sortState>
  <mergeCells count="32">
    <mergeCell ref="A2:L2"/>
    <mergeCell ref="A3:L3"/>
    <mergeCell ref="A7:E7"/>
    <mergeCell ref="A8:E8"/>
    <mergeCell ref="A9:E9"/>
    <mergeCell ref="A10:E10"/>
    <mergeCell ref="A11:E11"/>
    <mergeCell ref="A16:E16"/>
    <mergeCell ref="A21:E21"/>
    <mergeCell ref="A26:E26"/>
    <mergeCell ref="A30:E30"/>
    <mergeCell ref="A31:E31"/>
    <mergeCell ref="A32:E32"/>
    <mergeCell ref="A40:E40"/>
    <mergeCell ref="A43:E43"/>
    <mergeCell ref="A45:E45"/>
    <mergeCell ref="A49:E49"/>
    <mergeCell ref="A4:A6"/>
    <mergeCell ref="B4:B6"/>
    <mergeCell ref="B12:B15"/>
    <mergeCell ref="B17:B20"/>
    <mergeCell ref="B22:B25"/>
    <mergeCell ref="B27:B29"/>
    <mergeCell ref="B33:B39"/>
    <mergeCell ref="B41:B42"/>
    <mergeCell ref="B46:B48"/>
    <mergeCell ref="C4:C6"/>
    <mergeCell ref="D4:D6"/>
    <mergeCell ref="E4:E6"/>
    <mergeCell ref="K4:K6"/>
    <mergeCell ref="L4:L6"/>
    <mergeCell ref="F4:J5"/>
  </mergeCells>
  <printOptions horizontalCentered="1"/>
  <pageMargins left="0.161111111111111" right="0.161111111111111" top="1" bottom="0.511805555555556" header="0.511805555555556" footer="0.196527777777778"/>
  <pageSetup paperSize="9" scale="90" fitToHeight="0" orientation="landscape" horizontalDpi="600"/>
  <headerFooter alignWithMargins="0" scaleWithDoc="0">
    <oddFooter>&amp;C第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审核汇总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41627166</dc:creator>
  <cp:lastModifiedBy>江华</cp:lastModifiedBy>
  <dcterms:created xsi:type="dcterms:W3CDTF">2023-05-16T17:01:00Z</dcterms:created>
  <dcterms:modified xsi:type="dcterms:W3CDTF">2023-06-21T08:38:20Z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99F22C4E8882441ABD13E76E649F597C_13</vt:lpwstr>
  </property>
  <property fmtid="{D5CDD505-2E9C-101B-9397-08002B2CF9AE}" pid="3" name="KSOProductBuildVer">
    <vt:lpwstr>2052-11.8.6.8811</vt:lpwstr>
  </property>
</Properties>
</file>